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4805" windowHeight="8010"/>
  </bookViews>
  <sheets>
    <sheet name="приложение 11" sheetId="7" r:id="rId1"/>
    <sheet name="Солеотложения" sheetId="1" r:id="rId2"/>
    <sheet name="Коррозия" sheetId="2" r:id="rId3"/>
    <sheet name="АСПО" sheetId="3" r:id="rId4"/>
    <sheet name="Эмульсия" sheetId="4" r:id="rId5"/>
    <sheet name="Гидраты" sheetId="5" r:id="rId6"/>
    <sheet name="Общее КПЭ" sheetId="6" r:id="rId7"/>
  </sheets>
  <definedNames>
    <definedName name="_xlnm.Print_Area" localSheetId="3">АСПО!$A$1:$N$11</definedName>
    <definedName name="_xlnm.Print_Area" localSheetId="5">Гидраты!$A$1:$N$12</definedName>
    <definedName name="_xlnm.Print_Area" localSheetId="6">'Общее КПЭ'!$A$1:$S$13</definedName>
    <definedName name="_xlnm.Print_Area" localSheetId="0">'приложение 11'!$A$1:$I$12</definedName>
    <definedName name="_xlnm.Print_Area" localSheetId="1">Солеотложения!$A$1:$AA$23</definedName>
  </definedNames>
  <calcPr calcId="145621"/>
</workbook>
</file>

<file path=xl/calcChain.xml><?xml version="1.0" encoding="utf-8"?>
<calcChain xmlns="http://schemas.openxmlformats.org/spreadsheetml/2006/main">
  <c r="G5" i="6" l="1"/>
  <c r="F5" i="6"/>
  <c r="C5" i="6" l="1"/>
  <c r="P5" i="6" l="1"/>
  <c r="O5" i="6"/>
  <c r="M5" i="6"/>
  <c r="L5" i="6"/>
  <c r="J5" i="6"/>
  <c r="I5" i="6"/>
  <c r="K5" i="5"/>
  <c r="J5" i="5"/>
  <c r="H5" i="5"/>
  <c r="M5" i="5" s="1"/>
  <c r="K5" i="4"/>
  <c r="J5" i="4"/>
  <c r="M5" i="4" s="1"/>
  <c r="I5" i="4"/>
  <c r="L5" i="4" s="1"/>
  <c r="N5" i="4" s="1"/>
  <c r="H5" i="4"/>
  <c r="K5" i="3"/>
  <c r="H5" i="3"/>
  <c r="J5" i="3" s="1"/>
  <c r="J5" i="2"/>
  <c r="G5" i="2"/>
  <c r="I5" i="2" s="1"/>
  <c r="V5" i="1"/>
  <c r="S5" i="1"/>
  <c r="U5" i="1" s="1"/>
  <c r="N5" i="1"/>
  <c r="K5" i="1"/>
  <c r="L5" i="1" s="1"/>
  <c r="O5" i="1" s="1"/>
  <c r="X5" i="1" l="1"/>
  <c r="R5" i="6"/>
  <c r="Q5" i="6" s="1"/>
  <c r="I5" i="5"/>
  <c r="L5" i="5" s="1"/>
  <c r="N5" i="5" s="1"/>
  <c r="I5" i="3"/>
  <c r="L5" i="3" s="1"/>
  <c r="N5" i="3" s="1"/>
  <c r="M5" i="3"/>
  <c r="H5" i="2"/>
  <c r="K5" i="2" s="1"/>
  <c r="L5" i="2"/>
  <c r="M5" i="1"/>
  <c r="P5" i="1" s="1"/>
  <c r="R5" i="1" s="1"/>
  <c r="T5" i="1"/>
  <c r="W5" i="1" s="1"/>
  <c r="M5" i="2" l="1"/>
  <c r="Z5" i="1"/>
  <c r="AA5" i="1" s="1"/>
  <c r="D5" i="6" s="1"/>
  <c r="K5" i="6"/>
  <c r="N5" i="6"/>
  <c r="E5" i="6"/>
  <c r="H5" i="6"/>
  <c r="S5" i="6" l="1"/>
</calcChain>
</file>

<file path=xl/sharedStrings.xml><?xml version="1.0" encoding="utf-8"?>
<sst xmlns="http://schemas.openxmlformats.org/spreadsheetml/2006/main" count="207" uniqueCount="49">
  <si>
    <t>ОГ (наименование Общества группы)</t>
  </si>
  <si>
    <t>Данные оцениваемого периода</t>
  </si>
  <si>
    <t>Расчёт КПЭ по Эф-ть (химизации)</t>
  </si>
  <si>
    <t>Расчёт КПЭ по Эф-ти (СКО и другие работы по удалению солеотложений с помощью химических реагентов)</t>
  </si>
  <si>
    <t>Общ (KPI)</t>
  </si>
  <si>
    <t>Осложнённый фонд, 
шт (число скважин ОФ на момент проведения оценки)</t>
  </si>
  <si>
    <t>Защищаемый химизацией фонд, 
шт (число скважин под ингибированием на момент проведения оценки)</t>
  </si>
  <si>
    <t>Удаление (число СКО, всего за скользящий год по всему фонду скважин)</t>
  </si>
  <si>
    <t>Накопленное 
кол-во отказов защищаемого химизацией фонда за скользящий год (отказы до 365 суток по причине данного осложнения), 
шт</t>
  </si>
  <si>
    <t>эффективность, % (прошлого периода)</t>
  </si>
  <si>
    <t>Коэффициент для подсчёта базы</t>
  </si>
  <si>
    <t>Коэффициент для подсчёта нормы</t>
  </si>
  <si>
    <t>Текущая эффективность, %</t>
  </si>
  <si>
    <t>База, %</t>
  </si>
  <si>
    <t>Норма, %</t>
  </si>
  <si>
    <t>Вес показателя</t>
  </si>
  <si>
    <t>KPI</t>
  </si>
  <si>
    <t>Коэффициент для подсчёта базы и нормы</t>
  </si>
  <si>
    <t>Пример ОГ</t>
  </si>
  <si>
    <t>заполнять</t>
  </si>
  <si>
    <t>не трогать</t>
  </si>
  <si>
    <r>
      <t xml:space="preserve">Данные за период предшествующий оцениваемому </t>
    </r>
    <r>
      <rPr>
        <b/>
        <sz val="10"/>
        <rFont val="Times New Roman"/>
        <family val="1"/>
        <charset val="204"/>
      </rPr>
      <t>(вносятся для расчёта эффективности прошлого периода)</t>
    </r>
  </si>
  <si>
    <t>Защищаемый химизацией фонд, 
шт (число скважин под химизацией на момент проведения оценки)</t>
  </si>
  <si>
    <t>Расчёт по эффективности работы от по химизации от осложнения - солеотложения</t>
  </si>
  <si>
    <t>Расчёт по эффективности работы от по химизации от осложнения - коррозии</t>
  </si>
  <si>
    <t>Расчёт по эффективности работы от по химизации от осложнения - АСПО</t>
  </si>
  <si>
    <t>Расчёт по эффективности работы от по химизации от осложнения - Эмульсия</t>
  </si>
  <si>
    <t>Расчёт по эффективности работы от по химизации от осложнения - Гидратообразования</t>
  </si>
  <si>
    <t>соли</t>
  </si>
  <si>
    <t>коррозия</t>
  </si>
  <si>
    <t>АСПО</t>
  </si>
  <si>
    <t>Эмульсия</t>
  </si>
  <si>
    <t>Гидраты</t>
  </si>
  <si>
    <t>Всего ОФ</t>
  </si>
  <si>
    <t>Общее КПЭ</t>
  </si>
  <si>
    <t>КПЭ</t>
  </si>
  <si>
    <t>доля в ОФ</t>
  </si>
  <si>
    <t>Химизируемый ОФ</t>
  </si>
  <si>
    <t>Осложнённый фонд</t>
  </si>
  <si>
    <t>ФОРМА РАСЧЕТА РЕЙТИНГА ПО МЕХАНИЗИРОВАННОМУ ФОНДУ (С ПРИМЕРОМ ЗАПОЛНЕНИЯ)</t>
  </si>
  <si>
    <t>Содержание</t>
  </si>
  <si>
    <t>Солеотложения!A1</t>
  </si>
  <si>
    <t>Коррозия!A1</t>
  </si>
  <si>
    <t>АСПО!A1</t>
  </si>
  <si>
    <t>Эмульсия!A1</t>
  </si>
  <si>
    <t>Гидраты!A1</t>
  </si>
  <si>
    <t>Общее КПЭ'!A1</t>
  </si>
  <si>
    <t>ПРИЛОЖЕНИЕ 11 К ТИПОВЫМ ТРЕБОВАНИЯМ КОМПАНИИ 
№ П1-01.05 ТТР-0148 «ПРИМЕНЕНИЕ ХИМИЧЕСКИХ РЕАГЕНТОВ 
НА ОБЪЕКТАХ ДОБЫЧИ УГЛЕВОДОРОДНОГО СЫРЬЯ КОМПАНИИ» ВЕРСИЯ 1 ИЗМ. 1</t>
  </si>
  <si>
    <t>Общая (сплошная) коррозия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</si>
</sst>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?_-;\-* #,##0.00\ _?_-;_-* &quot;-&quot;??\ _?_-;_-@_-"/>
    <numFmt numFmtId="165" formatCode="mmm/yyyy"/>
    <numFmt numFmtId="166" formatCode="#,##0_ ;[Red]\-#,##0\ "/>
    <numFmt numFmtId="167" formatCode="#,##0.0_ ;[Red]\-#,##0.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b/>
      <sz val="11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u/>
      <sz val="11"/>
      <color theme="10"/>
      <name val="Calibri"/>
      <family val="2"/>
      <scheme val="minor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4" fillId="0" borderId="0" applyNumberFormat="0" applyFill="0" applyBorder="0" applyAlignment="0" applyProtection="0"/>
  </cellStyleXfs>
  <cellXfs count="93">
    <xf numFmtId="0" fontId="0" fillId="0" borderId="0" xfId="0"/>
    <xf numFmtId="0" fontId="4" fillId="3" borderId="11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Protection="1">
      <protection locked="0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4" borderId="11" xfId="0" applyFont="1" applyFill="1" applyBorder="1" applyAlignment="1" applyProtection="1">
      <alignment horizontal="center" vertical="center" wrapText="1"/>
      <protection locked="0"/>
    </xf>
    <xf numFmtId="0" fontId="5" fillId="3" borderId="11" xfId="0" applyFont="1" applyFill="1" applyBorder="1" applyAlignment="1" applyProtection="1">
      <alignment vertical="center" wrapText="1"/>
      <protection locked="0"/>
    </xf>
    <xf numFmtId="0" fontId="5" fillId="3" borderId="11" xfId="0" applyFont="1" applyFill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 wrapText="1"/>
      <protection locked="0"/>
    </xf>
    <xf numFmtId="165" fontId="5" fillId="0" borderId="10" xfId="0" applyNumberFormat="1" applyFont="1" applyFill="1" applyBorder="1" applyAlignment="1" applyProtection="1">
      <alignment horizontal="center" vertical="center" wrapText="1"/>
      <protection locked="0"/>
    </xf>
    <xf numFmtId="166" fontId="5" fillId="0" borderId="11" xfId="0" applyNumberFormat="1" applyFont="1" applyFill="1" applyBorder="1" applyAlignment="1" applyProtection="1">
      <alignment horizontal="center" vertical="center"/>
      <protection locked="0"/>
    </xf>
    <xf numFmtId="9" fontId="5" fillId="0" borderId="11" xfId="2" applyFont="1" applyFill="1" applyBorder="1" applyAlignment="1" applyProtection="1">
      <alignment horizontal="center" vertical="center"/>
    </xf>
    <xf numFmtId="164" fontId="5" fillId="5" borderId="11" xfId="1" applyFont="1" applyFill="1" applyBorder="1" applyAlignment="1" applyProtection="1">
      <alignment horizontal="center" vertical="center"/>
    </xf>
    <xf numFmtId="167" fontId="5" fillId="0" borderId="11" xfId="3" applyNumberFormat="1" applyFont="1" applyFill="1" applyBorder="1" applyAlignment="1" applyProtection="1">
      <alignment horizontal="center" vertical="center"/>
    </xf>
    <xf numFmtId="0" fontId="3" fillId="0" borderId="0" xfId="0" applyFont="1" applyFill="1" applyProtection="1">
      <protection locked="0"/>
    </xf>
    <xf numFmtId="165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Protection="1"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vertical="center" wrapText="1"/>
      <protection locked="0"/>
    </xf>
    <xf numFmtId="165" fontId="4" fillId="0" borderId="10" xfId="0" applyNumberFormat="1" applyFont="1" applyFill="1" applyBorder="1" applyAlignment="1" applyProtection="1">
      <alignment horizontal="center" vertical="center" wrapText="1"/>
      <protection locked="0"/>
    </xf>
    <xf numFmtId="166" fontId="4" fillId="0" borderId="11" xfId="0" applyNumberFormat="1" applyFont="1" applyFill="1" applyBorder="1" applyAlignment="1" applyProtection="1">
      <alignment horizontal="center" vertical="center"/>
      <protection locked="0"/>
    </xf>
    <xf numFmtId="9" fontId="4" fillId="0" borderId="11" xfId="2" applyFont="1" applyFill="1" applyBorder="1" applyAlignment="1" applyProtection="1">
      <alignment horizontal="center" vertical="center"/>
    </xf>
    <xf numFmtId="164" fontId="4" fillId="0" borderId="11" xfId="1" applyFont="1" applyFill="1" applyBorder="1" applyAlignment="1" applyProtection="1">
      <alignment horizontal="center" vertical="center"/>
    </xf>
    <xf numFmtId="167" fontId="4" fillId="0" borderId="12" xfId="3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4" fillId="4" borderId="17" xfId="0" applyFont="1" applyFill="1" applyBorder="1" applyAlignment="1" applyProtection="1">
      <alignment vertical="center" wrapText="1"/>
      <protection locked="0"/>
    </xf>
    <xf numFmtId="0" fontId="9" fillId="3" borderId="18" xfId="0" applyFont="1" applyFill="1" applyBorder="1" applyAlignment="1" applyProtection="1">
      <alignment vertical="center"/>
      <protection locked="0"/>
    </xf>
    <xf numFmtId="0" fontId="9" fillId="3" borderId="19" xfId="0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4" fillId="4" borderId="11" xfId="0" applyFont="1" applyFill="1" applyBorder="1" applyAlignment="1" applyProtection="1">
      <alignment horizontal="center" vertical="center" wrapText="1"/>
      <protection locked="0"/>
    </xf>
    <xf numFmtId="0" fontId="4" fillId="3" borderId="11" xfId="0" applyFont="1" applyFill="1" applyBorder="1" applyAlignment="1" applyProtection="1">
      <alignment horizontal="center" vertical="center" wrapText="1"/>
      <protection locked="0"/>
    </xf>
    <xf numFmtId="0" fontId="9" fillId="3" borderId="11" xfId="0" applyFont="1" applyFill="1" applyBorder="1" applyAlignment="1" applyProtection="1">
      <alignment horizontal="center" vertical="center"/>
      <protection locked="0"/>
    </xf>
    <xf numFmtId="0" fontId="9" fillId="3" borderId="12" xfId="0" applyFont="1" applyFill="1" applyBorder="1" applyAlignment="1" applyProtection="1">
      <alignment horizontal="center" vertical="center"/>
      <protection locked="0"/>
    </xf>
    <xf numFmtId="165" fontId="1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1" xfId="1" applyFont="1" applyFill="1" applyBorder="1" applyAlignment="1" applyProtection="1">
      <alignment horizontal="center" vertical="center"/>
    </xf>
    <xf numFmtId="164" fontId="5" fillId="0" borderId="12" xfId="1" applyFont="1" applyFill="1" applyBorder="1" applyAlignment="1" applyProtection="1">
      <alignment horizontal="center" vertical="center"/>
    </xf>
    <xf numFmtId="0" fontId="2" fillId="0" borderId="0" xfId="0" applyFont="1"/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" fontId="0" fillId="0" borderId="31" xfId="0" applyNumberFormat="1" applyBorder="1" applyAlignment="1">
      <alignment horizontal="center" vertical="center"/>
    </xf>
    <xf numFmtId="9" fontId="0" fillId="0" borderId="32" xfId="2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" fontId="0" fillId="0" borderId="3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14" fillId="0" borderId="0" xfId="4"/>
    <xf numFmtId="0" fontId="14" fillId="0" borderId="0" xfId="4" quotePrefix="1"/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3" borderId="9" xfId="0" applyFont="1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horizontal="center" vertical="center" wrapText="1"/>
      <protection locked="0"/>
    </xf>
    <xf numFmtId="0" fontId="5" fillId="2" borderId="13" xfId="0" applyFont="1" applyFill="1" applyBorder="1" applyAlignment="1" applyProtection="1">
      <alignment horizontal="center" vertical="center" wrapText="1"/>
      <protection locked="0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14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10" fillId="2" borderId="10" xfId="0" applyFont="1" applyFill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10" xfId="0" applyFont="1" applyFill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5" fillId="0" borderId="0" xfId="0" applyFont="1"/>
  </cellXfs>
  <cellStyles count="5">
    <cellStyle name="Гиперссылка" xfId="4" builtinId="8"/>
    <cellStyle name="Обычный" xfId="0" builtinId="0"/>
    <cellStyle name="Обычный 5" xfId="3"/>
    <cellStyle name="Процентный" xfId="2" builtinId="5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6</xdr:col>
      <xdr:colOff>609600</xdr:colOff>
      <xdr:row>2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8611850" y="333375"/>
          <a:ext cx="6096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609600</xdr:colOff>
      <xdr:row>2</xdr:row>
      <xdr:rowOff>38100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8611850" y="333375"/>
          <a:ext cx="6096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609600</xdr:colOff>
      <xdr:row>2</xdr:row>
      <xdr:rowOff>38100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8611850" y="333375"/>
          <a:ext cx="6096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609600</xdr:colOff>
      <xdr:row>2</xdr:row>
      <xdr:rowOff>38100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8611850" y="333375"/>
          <a:ext cx="6096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2</xdr:row>
      <xdr:rowOff>0</xdr:rowOff>
    </xdr:from>
    <xdr:ext cx="609600" cy="3810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771900" y="333375"/>
          <a:ext cx="6096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609600" cy="3810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771900" y="333375"/>
          <a:ext cx="6096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609600" cy="3810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771900" y="333375"/>
          <a:ext cx="6096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</xdr:row>
      <xdr:rowOff>0</xdr:rowOff>
    </xdr:from>
    <xdr:ext cx="609600" cy="3810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771900" y="333375"/>
          <a:ext cx="6096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zoomScaleNormal="100" workbookViewId="0">
      <selection activeCell="Y8" sqref="Y8"/>
    </sheetView>
  </sheetViews>
  <sheetFormatPr defaultRowHeight="15" x14ac:dyDescent="0.25"/>
  <cols>
    <col min="13" max="25" width="9.140625" customWidth="1"/>
  </cols>
  <sheetData>
    <row r="1" spans="1:18" ht="69.75" customHeight="1" x14ac:dyDescent="0.25">
      <c r="A1" s="48" t="s">
        <v>47</v>
      </c>
      <c r="B1" s="48"/>
      <c r="C1" s="48"/>
      <c r="D1" s="48"/>
      <c r="E1" s="48"/>
      <c r="F1" s="48"/>
      <c r="G1" s="48"/>
      <c r="H1" s="48"/>
      <c r="I1" s="48"/>
    </row>
    <row r="2" spans="1:18" ht="63" customHeight="1" x14ac:dyDescent="0.25">
      <c r="A2" s="49" t="s">
        <v>39</v>
      </c>
      <c r="B2" s="49"/>
      <c r="C2" s="49"/>
      <c r="D2" s="49"/>
      <c r="E2" s="49"/>
      <c r="F2" s="49"/>
      <c r="G2" s="49"/>
      <c r="H2" s="49"/>
      <c r="I2" s="49"/>
    </row>
    <row r="4" spans="1:18" x14ac:dyDescent="0.25">
      <c r="A4" t="s">
        <v>40</v>
      </c>
    </row>
    <row r="5" spans="1:18" x14ac:dyDescent="0.25">
      <c r="A5" s="46" t="s">
        <v>41</v>
      </c>
    </row>
    <row r="6" spans="1:18" x14ac:dyDescent="0.25">
      <c r="A6" s="46" t="s">
        <v>42</v>
      </c>
    </row>
    <row r="7" spans="1:18" x14ac:dyDescent="0.25">
      <c r="A7" s="46" t="s">
        <v>42</v>
      </c>
    </row>
    <row r="8" spans="1:18" x14ac:dyDescent="0.25">
      <c r="A8" s="46" t="s">
        <v>43</v>
      </c>
    </row>
    <row r="9" spans="1:18" x14ac:dyDescent="0.25">
      <c r="A9" s="46" t="s">
        <v>44</v>
      </c>
    </row>
    <row r="10" spans="1:18" x14ac:dyDescent="0.25">
      <c r="A10" s="46" t="s">
        <v>45</v>
      </c>
    </row>
    <row r="11" spans="1:18" ht="15.75" x14ac:dyDescent="0.25">
      <c r="A11" s="47" t="s">
        <v>46</v>
      </c>
      <c r="R11" s="92"/>
    </row>
  </sheetData>
  <mergeCells count="2">
    <mergeCell ref="A1:I1"/>
    <mergeCell ref="A2:I2"/>
  </mergeCells>
  <hyperlinks>
    <hyperlink ref="A5" location="Солеотложения!A1" display="Солеотложения!A1"/>
    <hyperlink ref="A6" location="Коррозия!A1" display="Коррозия!A1"/>
    <hyperlink ref="A7" location="Коррозия!A1" display="Коррозия!A1"/>
    <hyperlink ref="A8" location="АСПО!A1" display="АСПО!A1"/>
    <hyperlink ref="A9" location="Эмульсия!A1" display="Эмульсия!A1"/>
    <hyperlink ref="A10" location="Гидраты!A1" display="Гидраты!A1"/>
    <hyperlink ref="A11" location="'Общее КПЭ'!A1" display="'Общее КПЭ'!A1"/>
  </hyperlinks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6"/>
  <sheetViews>
    <sheetView topLeftCell="D1" zoomScaleNormal="100" zoomScalePageLayoutView="40" workbookViewId="0">
      <selection activeCell="R11" sqref="R11"/>
    </sheetView>
  </sheetViews>
  <sheetFormatPr defaultRowHeight="15" x14ac:dyDescent="0.25"/>
  <cols>
    <col min="2" max="2" width="27.7109375" customWidth="1"/>
    <col min="3" max="9" width="24.28515625" customWidth="1"/>
    <col min="10" max="10" width="21.140625" customWidth="1"/>
    <col min="11" max="27" width="13.28515625" customWidth="1"/>
  </cols>
  <sheetData>
    <row r="1" spans="2:27" x14ac:dyDescent="0.25">
      <c r="B1" s="36" t="s">
        <v>23</v>
      </c>
    </row>
    <row r="2" spans="2:27" ht="15.75" thickBot="1" x14ac:dyDescent="0.3"/>
    <row r="3" spans="2:27" s="2" customFormat="1" ht="24" customHeight="1" thickBot="1" x14ac:dyDescent="0.25">
      <c r="B3" s="52" t="s">
        <v>0</v>
      </c>
      <c r="C3" s="54" t="s">
        <v>21</v>
      </c>
      <c r="D3" s="55"/>
      <c r="E3" s="55"/>
      <c r="F3" s="56"/>
      <c r="G3" s="57" t="s">
        <v>1</v>
      </c>
      <c r="H3" s="58"/>
      <c r="I3" s="58"/>
      <c r="J3" s="59"/>
      <c r="K3" s="60" t="s">
        <v>2</v>
      </c>
      <c r="L3" s="60"/>
      <c r="M3" s="60"/>
      <c r="N3" s="60"/>
      <c r="O3" s="60"/>
      <c r="P3" s="60"/>
      <c r="Q3" s="60"/>
      <c r="R3" s="60"/>
      <c r="S3" s="61" t="s">
        <v>3</v>
      </c>
      <c r="T3" s="61"/>
      <c r="U3" s="61"/>
      <c r="V3" s="61"/>
      <c r="W3" s="61"/>
      <c r="X3" s="61"/>
      <c r="Y3" s="61"/>
      <c r="Z3" s="61"/>
      <c r="AA3" s="50" t="s">
        <v>4</v>
      </c>
    </row>
    <row r="4" spans="2:27" s="2" customFormat="1" ht="136.5" customHeight="1" x14ac:dyDescent="0.2">
      <c r="B4" s="53"/>
      <c r="C4" s="3" t="s">
        <v>5</v>
      </c>
      <c r="D4" s="3" t="s">
        <v>6</v>
      </c>
      <c r="E4" s="3" t="s">
        <v>7</v>
      </c>
      <c r="F4" s="3" t="s">
        <v>8</v>
      </c>
      <c r="G4" s="3" t="s">
        <v>5</v>
      </c>
      <c r="H4" s="3" t="s">
        <v>6</v>
      </c>
      <c r="I4" s="3" t="s">
        <v>7</v>
      </c>
      <c r="J4" s="3" t="s">
        <v>8</v>
      </c>
      <c r="K4" s="4" t="s">
        <v>9</v>
      </c>
      <c r="L4" s="5" t="s">
        <v>10</v>
      </c>
      <c r="M4" s="5" t="s">
        <v>11</v>
      </c>
      <c r="N4" s="6" t="s">
        <v>12</v>
      </c>
      <c r="O4" s="7" t="s">
        <v>13</v>
      </c>
      <c r="P4" s="7" t="s">
        <v>14</v>
      </c>
      <c r="Q4" s="8" t="s">
        <v>15</v>
      </c>
      <c r="R4" s="7" t="s">
        <v>16</v>
      </c>
      <c r="S4" s="4"/>
      <c r="T4" s="5" t="s">
        <v>10</v>
      </c>
      <c r="U4" s="5" t="s">
        <v>17</v>
      </c>
      <c r="V4" s="6" t="s">
        <v>12</v>
      </c>
      <c r="W4" s="7" t="s">
        <v>13</v>
      </c>
      <c r="X4" s="7" t="s">
        <v>14</v>
      </c>
      <c r="Y4" s="8" t="s">
        <v>15</v>
      </c>
      <c r="Z4" s="7" t="s">
        <v>16</v>
      </c>
      <c r="AA4" s="51"/>
    </row>
    <row r="5" spans="2:27" s="14" customFormat="1" ht="30.75" customHeight="1" x14ac:dyDescent="0.2">
      <c r="B5" s="9" t="s">
        <v>18</v>
      </c>
      <c r="C5" s="10">
        <v>765</v>
      </c>
      <c r="D5" s="10">
        <v>726</v>
      </c>
      <c r="E5" s="10">
        <v>262</v>
      </c>
      <c r="F5" s="10">
        <v>4</v>
      </c>
      <c r="G5" s="10">
        <v>765</v>
      </c>
      <c r="H5" s="10">
        <v>726</v>
      </c>
      <c r="I5" s="10">
        <v>262</v>
      </c>
      <c r="J5" s="10">
        <v>4</v>
      </c>
      <c r="K5" s="11">
        <f>1-F5/D5</f>
        <v>0.99449035812672171</v>
      </c>
      <c r="L5" s="11">
        <f>IF(K5&lt;=0.8,80%,IF(K5&gt;0.8,K5*0.95))</f>
        <v>0.94476584022038557</v>
      </c>
      <c r="M5" s="12">
        <f>IF(K5&gt;=100%,0.99,(IF(AND(K5&gt;=95%,K5&lt;100%),1,(IF(AND(K5&gt;=90%,K5&lt;95%),1.01,(IF(AND(K5&gt;=85%,K5&lt;90%),1.02,(IF(AND(K5&gt;=80%,K5&lt;85%),1.03,(IF(AND(K5&lt;80%),80%)))))))))))</f>
        <v>1</v>
      </c>
      <c r="N5" s="11">
        <f t="shared" ref="N5" si="0">1-J5/H5</f>
        <v>0.99449035812672171</v>
      </c>
      <c r="O5" s="11">
        <f>IF(L5&lt;=0.8,80%,IF(L5&gt;0.8,L5))</f>
        <v>0.94476584022038557</v>
      </c>
      <c r="P5" s="11">
        <f>IF((M5)&lt;=0.8,80%*1.03,(K5*M5))</f>
        <v>0.99449035812672171</v>
      </c>
      <c r="Q5" s="34">
        <v>0.5</v>
      </c>
      <c r="R5" s="13">
        <f>IF(((N5-O5)/(P5-O5))*100&lt;0,0,IF(((N5-O5)/(P5-O5))*100&gt;100,100,((N5-O5)/(P5-O5))*100))</f>
        <v>100</v>
      </c>
      <c r="S5" s="11">
        <f>1-E5/C5</f>
        <v>0.65751633986928104</v>
      </c>
      <c r="T5" s="11">
        <f>IF(S5&lt;=0.4,40%,IF(S5&gt;0.4,S5*0.8))</f>
        <v>0.5260130718954249</v>
      </c>
      <c r="U5" s="12">
        <f>IF(S5&gt;=100%,0.99,(IF(AND(S5&gt;=90%,S5&lt;100%),1,(IF(AND(S5&gt;=80%,S5&lt;90%),1.01,(IF(AND(S5&gt;=70%,S5&lt;80%),1.02,(IF(AND(S5&gt;=60%,S5&lt;70%),1.03,(IF(AND(S5&gt;=50%,S5&lt;60%),1.05,(IF(AND(S5&gt;=40%,S5&lt;50%),1.1,(IF(AND(S5&lt;40%),0.4)))))))))))))))</f>
        <v>1.03</v>
      </c>
      <c r="V5" s="11">
        <f t="shared" ref="V5" si="1">1-I5/G5</f>
        <v>0.65751633986928104</v>
      </c>
      <c r="W5" s="11">
        <f>IF(T5&lt;=0.4,40%,IF(T5&gt;0.4,T5))</f>
        <v>0.5260130718954249</v>
      </c>
      <c r="X5" s="11">
        <f>IF((U5)&lt;=0.4,44%,(S5*U5))</f>
        <v>0.67724183006535954</v>
      </c>
      <c r="Y5" s="34">
        <v>0.5</v>
      </c>
      <c r="Z5" s="13">
        <f t="shared" ref="Z5" si="2">IF(((V5-W5)/(X5-W5))*100&lt;0,0,IF(((V5-W5)/(X5-W5))*100&gt;100,100,((V5-W5)/(X5-W5))*100))</f>
        <v>86.956521739130395</v>
      </c>
      <c r="AA5" s="35">
        <f>R5*Q5+Z5*Y5</f>
        <v>93.47826086956519</v>
      </c>
    </row>
    <row r="6" spans="2:27" s="2" customFormat="1" ht="26.25" customHeight="1" x14ac:dyDescent="0.2">
      <c r="B6" s="15" t="s">
        <v>19</v>
      </c>
      <c r="C6" s="15" t="s">
        <v>19</v>
      </c>
      <c r="D6" s="15" t="s">
        <v>19</v>
      </c>
      <c r="E6" s="15" t="s">
        <v>19</v>
      </c>
      <c r="F6" s="15" t="s">
        <v>19</v>
      </c>
      <c r="G6" s="15" t="s">
        <v>19</v>
      </c>
      <c r="H6" s="15" t="s">
        <v>19</v>
      </c>
      <c r="I6" s="15" t="s">
        <v>19</v>
      </c>
      <c r="J6" s="15" t="s">
        <v>19</v>
      </c>
      <c r="K6" s="15" t="s">
        <v>20</v>
      </c>
      <c r="L6" s="15" t="s">
        <v>20</v>
      </c>
      <c r="M6" s="15" t="s">
        <v>20</v>
      </c>
      <c r="N6" s="15" t="s">
        <v>20</v>
      </c>
      <c r="O6" s="15" t="s">
        <v>20</v>
      </c>
      <c r="P6" s="15" t="s">
        <v>20</v>
      </c>
      <c r="Q6" s="15" t="s">
        <v>20</v>
      </c>
      <c r="R6" s="15" t="s">
        <v>20</v>
      </c>
      <c r="S6" s="15" t="s">
        <v>20</v>
      </c>
      <c r="T6" s="15" t="s">
        <v>20</v>
      </c>
      <c r="U6" s="15" t="s">
        <v>20</v>
      </c>
      <c r="V6" s="15" t="s">
        <v>20</v>
      </c>
      <c r="W6" s="15" t="s">
        <v>20</v>
      </c>
      <c r="X6" s="15" t="s">
        <v>20</v>
      </c>
      <c r="Y6" s="15" t="s">
        <v>20</v>
      </c>
      <c r="Z6" s="15" t="s">
        <v>20</v>
      </c>
      <c r="AA6" s="15" t="s">
        <v>20</v>
      </c>
    </row>
  </sheetData>
  <sheetProtection algorithmName="SHA-512" hashValue="KLObkV6wfaXvc5liXgDI/2zjzfQXCJXN3emeh+2W+csMGXI3LOR2m02hy64iNcAEptpSKn41G9P3dZj6WrqgqQ==" saltValue="jCyj/aXsb14SFtzdYeyy1g==" spinCount="100000" sheet="1" objects="1" scenarios="1"/>
  <protectedRanges>
    <protectedRange algorithmName="SHA-512" hashValue="u63gpSkUqIrf3O8uM8NSOyD61BHVcK1UDMUQx6Z5Sd/yQoaKNN7s9F4u1oRaKVx8GDjoIvkXHZgFnBUil1OgZA==" saltValue="WqWNkxIk/WwF7a/GH7Ss3g==" spinCount="100000" sqref="K5:AA5" name="Диапазон1"/>
  </protectedRanges>
  <mergeCells count="6">
    <mergeCell ref="AA3:AA4"/>
    <mergeCell ref="B3:B4"/>
    <mergeCell ref="C3:F3"/>
    <mergeCell ref="G3:J3"/>
    <mergeCell ref="K3:R3"/>
    <mergeCell ref="S3:Z3"/>
  </mergeCells>
  <pageMargins left="0.70866141732283472" right="0.70866141732283472" top="0.74803149606299213" bottom="0.74803149606299213" header="0.31496062992125984" footer="0.31496062992125984"/>
  <pageSetup paperSize="9" scale="38" firstPageNumber="2" orientation="landscape" r:id="rId1"/>
  <headerFooter>
    <oddFooter>&amp;R&amp;P из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"/>
  <sheetViews>
    <sheetView zoomScaleNormal="100" zoomScalePageLayoutView="50" workbookViewId="0">
      <selection activeCell="R11" sqref="R11"/>
    </sheetView>
  </sheetViews>
  <sheetFormatPr defaultRowHeight="15" x14ac:dyDescent="0.25"/>
  <cols>
    <col min="2" max="2" width="25.140625" customWidth="1"/>
    <col min="3" max="6" width="28" customWidth="1"/>
    <col min="7" max="13" width="16" customWidth="1"/>
  </cols>
  <sheetData>
    <row r="1" spans="2:13" x14ac:dyDescent="0.25">
      <c r="B1" s="36" t="s">
        <v>24</v>
      </c>
    </row>
    <row r="2" spans="2:13" ht="15.75" thickBot="1" x14ac:dyDescent="0.3"/>
    <row r="3" spans="2:13" s="16" customFormat="1" ht="39.75" customHeight="1" thickBot="1" x14ac:dyDescent="0.25">
      <c r="B3" s="62" t="s">
        <v>0</v>
      </c>
      <c r="C3" s="64" t="s">
        <v>21</v>
      </c>
      <c r="D3" s="65"/>
      <c r="E3" s="66" t="s">
        <v>1</v>
      </c>
      <c r="F3" s="67"/>
      <c r="G3" s="68" t="s">
        <v>2</v>
      </c>
      <c r="H3" s="69"/>
      <c r="I3" s="70"/>
      <c r="J3" s="70"/>
      <c r="K3" s="70"/>
      <c r="L3" s="70"/>
      <c r="M3" s="71"/>
    </row>
    <row r="4" spans="2:13" s="16" customFormat="1" ht="117" customHeight="1" x14ac:dyDescent="0.2">
      <c r="B4" s="63"/>
      <c r="C4" s="17" t="s">
        <v>6</v>
      </c>
      <c r="D4" s="17" t="s">
        <v>8</v>
      </c>
      <c r="E4" s="17" t="s">
        <v>6</v>
      </c>
      <c r="F4" s="17" t="s">
        <v>8</v>
      </c>
      <c r="G4" s="25" t="s">
        <v>9</v>
      </c>
      <c r="H4" s="18" t="s">
        <v>10</v>
      </c>
      <c r="I4" s="18" t="s">
        <v>17</v>
      </c>
      <c r="J4" s="18" t="s">
        <v>12</v>
      </c>
      <c r="K4" s="26" t="s">
        <v>13</v>
      </c>
      <c r="L4" s="26" t="s">
        <v>14</v>
      </c>
      <c r="M4" s="27" t="s">
        <v>16</v>
      </c>
    </row>
    <row r="5" spans="2:13" s="16" customFormat="1" ht="18.75" customHeight="1" x14ac:dyDescent="0.2">
      <c r="B5" s="19" t="s">
        <v>18</v>
      </c>
      <c r="C5" s="20">
        <v>100</v>
      </c>
      <c r="D5" s="20">
        <v>5</v>
      </c>
      <c r="E5" s="20">
        <v>100</v>
      </c>
      <c r="F5" s="20">
        <v>6</v>
      </c>
      <c r="G5" s="21">
        <f>1-D5/C5</f>
        <v>0.95</v>
      </c>
      <c r="H5" s="21">
        <f>IF(G5&lt;=0.8,80%,IF(G5&gt;0.8,G5*0.95))</f>
        <v>0.90249999999999997</v>
      </c>
      <c r="I5" s="22">
        <f>IF(G5&gt;=100%,0.99,(IF(AND(G5&gt;=95%,G5&lt;100%),1,(IF(AND(G5&gt;=90%,G5&lt;95%),1.01,(IF(AND(G5&gt;=85%,G5&lt;90%),1.02,(IF(AND(G5&gt;=80%,G5&lt;85%),1.03,(IF(AND(G5&lt;80%),80%)))))))))))</f>
        <v>1</v>
      </c>
      <c r="J5" s="21">
        <f>1-F5/E5</f>
        <v>0.94</v>
      </c>
      <c r="K5" s="21">
        <f>IF(H5&lt;=0.8,80%,IF(H5&gt;0.8,H5))</f>
        <v>0.90249999999999997</v>
      </c>
      <c r="L5" s="21">
        <f>IF((G5)&lt;=0.8,80%*1.03,(G5*I5))</f>
        <v>0.95</v>
      </c>
      <c r="M5" s="23">
        <f>IF(((J5-K5)/(L5-K5))*100&lt;0,0,IF(((J5-K5)/(L5-K5))*100&gt;100,100,((J5-K5)/(L5-K5))*100))</f>
        <v>78.947368421052616</v>
      </c>
    </row>
    <row r="6" spans="2:13" s="16" customFormat="1" ht="12.75" x14ac:dyDescent="0.2">
      <c r="B6" s="24" t="s">
        <v>19</v>
      </c>
      <c r="C6" s="24" t="s">
        <v>19</v>
      </c>
      <c r="D6" s="24" t="s">
        <v>19</v>
      </c>
      <c r="E6" s="24" t="s">
        <v>19</v>
      </c>
      <c r="F6" s="24" t="s">
        <v>19</v>
      </c>
      <c r="G6" s="16" t="s">
        <v>20</v>
      </c>
      <c r="H6" s="16" t="s">
        <v>20</v>
      </c>
      <c r="I6" s="16" t="s">
        <v>20</v>
      </c>
      <c r="J6" s="16" t="s">
        <v>20</v>
      </c>
      <c r="K6" s="16" t="s">
        <v>20</v>
      </c>
      <c r="L6" s="16" t="s">
        <v>20</v>
      </c>
      <c r="M6" s="16" t="s">
        <v>20</v>
      </c>
    </row>
  </sheetData>
  <sheetProtection algorithmName="SHA-512" hashValue="UX7NPu8xPRb/doGc48qGwaMw0Z4elGJOogWiLKC24EDsv+MI0HIaR11g/j0NRMmqntoM7E/oepaIL9xExgogOQ==" saltValue="jXp13NAUxU/NsjdAtPzcyw==" spinCount="100000" sheet="1" objects="1" scenarios="1"/>
  <protectedRanges>
    <protectedRange algorithmName="SHA-512" hashValue="Z5wlORg57tYMHsx1t0yqapB2DRMZF5Q66Fqz4ull42QVOKJDy7Ps40qnGmfdZFTz4IZF6XPPDX8eDBKnEGK/xQ==" saltValue="ECqw2NYW1utjULAquVuFcA==" spinCount="100000" sqref="G5:M5" name="Диапазон1"/>
  </protectedRanges>
  <mergeCells count="4">
    <mergeCell ref="B3:B4"/>
    <mergeCell ref="C3:D3"/>
    <mergeCell ref="E3:F3"/>
    <mergeCell ref="G3:M3"/>
  </mergeCells>
  <pageMargins left="0.70866141732283472" right="0.70866141732283472" top="0.74803149606299213" bottom="0.74803149606299213" header="0.31496062992125984" footer="0.31496062992125984"/>
  <pageSetup paperSize="9" scale="38" firstPageNumber="3" orientation="portrait" r:id="rId1"/>
  <headerFooter>
    <oddFooter>&amp;R&amp;P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6"/>
  <sheetViews>
    <sheetView zoomScaleNormal="100" zoomScalePageLayoutView="50" workbookViewId="0">
      <selection activeCell="R11" sqref="R11"/>
    </sheetView>
  </sheetViews>
  <sheetFormatPr defaultRowHeight="15" x14ac:dyDescent="0.25"/>
  <cols>
    <col min="3" max="3" width="35.28515625" customWidth="1"/>
    <col min="4" max="7" width="31.85546875" customWidth="1"/>
    <col min="8" max="8" width="17.42578125" customWidth="1"/>
    <col min="9" max="9" width="14.42578125" customWidth="1"/>
    <col min="10" max="10" width="16.28515625" customWidth="1"/>
    <col min="11" max="11" width="12.28515625" customWidth="1"/>
    <col min="12" max="12" width="11" customWidth="1"/>
    <col min="13" max="13" width="10.85546875" customWidth="1"/>
  </cols>
  <sheetData>
    <row r="1" spans="3:14" x14ac:dyDescent="0.25">
      <c r="C1" s="36" t="s">
        <v>25</v>
      </c>
    </row>
    <row r="2" spans="3:14" ht="15.75" thickBot="1" x14ac:dyDescent="0.3"/>
    <row r="3" spans="3:14" s="28" customFormat="1" ht="35.25" customHeight="1" thickBot="1" x14ac:dyDescent="0.3">
      <c r="C3" s="72" t="s">
        <v>0</v>
      </c>
      <c r="D3" s="64" t="s">
        <v>21</v>
      </c>
      <c r="E3" s="65"/>
      <c r="F3" s="74" t="s">
        <v>1</v>
      </c>
      <c r="G3" s="67"/>
      <c r="H3" s="75" t="s">
        <v>2</v>
      </c>
      <c r="I3" s="75"/>
      <c r="J3" s="76"/>
      <c r="K3" s="76"/>
      <c r="L3" s="76"/>
      <c r="M3" s="76"/>
      <c r="N3" s="77"/>
    </row>
    <row r="4" spans="3:14" s="28" customFormat="1" ht="76.5" x14ac:dyDescent="0.25">
      <c r="C4" s="73"/>
      <c r="D4" s="3" t="s">
        <v>22</v>
      </c>
      <c r="E4" s="17" t="s">
        <v>8</v>
      </c>
      <c r="F4" s="3" t="s">
        <v>22</v>
      </c>
      <c r="G4" s="17" t="s">
        <v>8</v>
      </c>
      <c r="H4" s="29" t="s">
        <v>9</v>
      </c>
      <c r="I4" s="1" t="s">
        <v>10</v>
      </c>
      <c r="J4" s="1" t="s">
        <v>17</v>
      </c>
      <c r="K4" s="30" t="s">
        <v>12</v>
      </c>
      <c r="L4" s="31" t="s">
        <v>13</v>
      </c>
      <c r="M4" s="31" t="s">
        <v>14</v>
      </c>
      <c r="N4" s="32" t="s">
        <v>16</v>
      </c>
    </row>
    <row r="5" spans="3:14" s="28" customFormat="1" ht="21" customHeight="1" x14ac:dyDescent="0.25">
      <c r="C5" s="33" t="s">
        <v>18</v>
      </c>
      <c r="D5" s="10">
        <v>150</v>
      </c>
      <c r="E5" s="10">
        <v>2</v>
      </c>
      <c r="F5" s="10">
        <v>150</v>
      </c>
      <c r="G5" s="10">
        <v>2</v>
      </c>
      <c r="H5" s="21">
        <f>1-E5/D5</f>
        <v>0.98666666666666669</v>
      </c>
      <c r="I5" s="21">
        <f>IF(H5&lt;=0.8,80%,IF(H5&gt;0.8,H5*0.95))</f>
        <v>0.93733333333333335</v>
      </c>
      <c r="J5" s="22">
        <f>IF(H5&gt;=100%,0.99,(IF(AND(H5&gt;=95%,H5&lt;100%),1,(IF(AND(H5&gt;=90%,H5&lt;95%),1.01,(IF(AND(H5&gt;=85%,H5&lt;90%),1.02,(IF(AND(H5&gt;=80%,H5&lt;85%),1.03,(IF(AND(H5&lt;80%),80%)))))))))))</f>
        <v>1</v>
      </c>
      <c r="K5" s="21">
        <f>1-G5/F5</f>
        <v>0.98666666666666669</v>
      </c>
      <c r="L5" s="21">
        <f>IF(I5&lt;=0.8,80%,IF(I5&gt;0.8,I5))</f>
        <v>0.93733333333333335</v>
      </c>
      <c r="M5" s="21">
        <f>IF((H5)&lt;=0.8,80%*1.03,(H5*J5))</f>
        <v>0.98666666666666669</v>
      </c>
      <c r="N5" s="23">
        <f>IF(((K5-L5)/(M5-L5))*100&lt;0,0,IF(((K5-L5)/(M5-L5))*100&gt;100,100,((K5-L5)/(M5-L5))*100))</f>
        <v>100</v>
      </c>
    </row>
    <row r="6" spans="3:14" s="28" customFormat="1" x14ac:dyDescent="0.25">
      <c r="C6" s="24" t="s">
        <v>19</v>
      </c>
      <c r="D6" s="24" t="s">
        <v>19</v>
      </c>
      <c r="E6" s="24" t="s">
        <v>19</v>
      </c>
      <c r="F6" s="24" t="s">
        <v>19</v>
      </c>
      <c r="G6" s="24" t="s">
        <v>19</v>
      </c>
      <c r="H6" s="16" t="s">
        <v>20</v>
      </c>
      <c r="I6" s="16" t="s">
        <v>20</v>
      </c>
      <c r="J6" s="16" t="s">
        <v>20</v>
      </c>
      <c r="K6" s="16" t="s">
        <v>20</v>
      </c>
      <c r="L6" s="16" t="s">
        <v>20</v>
      </c>
      <c r="M6" s="16" t="s">
        <v>20</v>
      </c>
      <c r="N6" s="16" t="s">
        <v>20</v>
      </c>
    </row>
  </sheetData>
  <sheetProtection algorithmName="SHA-512" hashValue="acJ5CK6oCY7z8XV3G8K5Ok94cLp1K9yV4OzT4PBDA+Pa+nJ4PAuSMjMiXucp0JAjdOkXPUun7/5qVVfAJLQjfQ==" saltValue="84Nxvr8twT7bu+YDNs+KjA==" spinCount="100000" sheet="1" objects="1" scenarios="1"/>
  <protectedRanges>
    <protectedRange algorithmName="SHA-512" hashValue="znvyZBdnHZkHb5VEh9E/igovVHzKTMSgACHE434zYh4N0TIkrwVFx9EXI0EsJOo2e6N7eo65GI4u3g7kONTRkw==" saltValue="Pl0yEPTEqi8Gp6DG6j10HA==" spinCount="100000" sqref="H3:N5" name="Диапазон1"/>
  </protectedRanges>
  <mergeCells count="4">
    <mergeCell ref="C3:C4"/>
    <mergeCell ref="D3:E3"/>
    <mergeCell ref="F3:G3"/>
    <mergeCell ref="H3:N3"/>
  </mergeCells>
  <pageMargins left="0.70866141732283472" right="0.70866141732283472" top="0.74803149606299213" bottom="0.74803149606299213" header="0.31496062992125984" footer="0.31496062992125984"/>
  <pageSetup paperSize="9" scale="38" firstPageNumber="4" orientation="portrait" r:id="rId1"/>
  <headerFooter>
    <oddFooter>&amp;R&amp;P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6"/>
  <sheetViews>
    <sheetView zoomScaleNormal="100" workbookViewId="0">
      <selection activeCell="R11" sqref="R11"/>
    </sheetView>
  </sheetViews>
  <sheetFormatPr defaultRowHeight="15" x14ac:dyDescent="0.25"/>
  <cols>
    <col min="3" max="3" width="28.28515625" customWidth="1"/>
    <col min="4" max="7" width="32.42578125" customWidth="1"/>
    <col min="8" max="8" width="16.85546875" customWidth="1"/>
    <col min="9" max="9" width="14.42578125" customWidth="1"/>
    <col min="10" max="10" width="17.42578125" customWidth="1"/>
    <col min="11" max="11" width="15" customWidth="1"/>
  </cols>
  <sheetData>
    <row r="1" spans="3:14" x14ac:dyDescent="0.25">
      <c r="C1" s="36" t="s">
        <v>26</v>
      </c>
    </row>
    <row r="2" spans="3:14" ht="15.75" thickBot="1" x14ac:dyDescent="0.3"/>
    <row r="3" spans="3:14" s="28" customFormat="1" ht="27" customHeight="1" thickBot="1" x14ac:dyDescent="0.3">
      <c r="C3" s="72" t="s">
        <v>0</v>
      </c>
      <c r="D3" s="64" t="s">
        <v>21</v>
      </c>
      <c r="E3" s="65"/>
      <c r="F3" s="74" t="s">
        <v>1</v>
      </c>
      <c r="G3" s="67"/>
      <c r="H3" s="78" t="s">
        <v>2</v>
      </c>
      <c r="I3" s="78"/>
      <c r="J3" s="78"/>
      <c r="K3" s="78"/>
      <c r="L3" s="78"/>
      <c r="M3" s="78"/>
      <c r="N3" s="79"/>
    </row>
    <row r="4" spans="3:14" s="28" customFormat="1" ht="76.5" x14ac:dyDescent="0.25">
      <c r="C4" s="73"/>
      <c r="D4" s="3" t="s">
        <v>22</v>
      </c>
      <c r="E4" s="17" t="s">
        <v>8</v>
      </c>
      <c r="F4" s="3" t="s">
        <v>22</v>
      </c>
      <c r="G4" s="17" t="s">
        <v>8</v>
      </c>
      <c r="H4" s="29" t="s">
        <v>9</v>
      </c>
      <c r="I4" s="1" t="s">
        <v>10</v>
      </c>
      <c r="J4" s="1" t="s">
        <v>17</v>
      </c>
      <c r="K4" s="30" t="s">
        <v>12</v>
      </c>
      <c r="L4" s="31" t="s">
        <v>13</v>
      </c>
      <c r="M4" s="31" t="s">
        <v>14</v>
      </c>
      <c r="N4" s="32" t="s">
        <v>16</v>
      </c>
    </row>
    <row r="5" spans="3:14" s="28" customFormat="1" ht="21" customHeight="1" x14ac:dyDescent="0.25">
      <c r="C5" s="33" t="s">
        <v>18</v>
      </c>
      <c r="D5" s="10">
        <v>80</v>
      </c>
      <c r="E5" s="10">
        <v>3</v>
      </c>
      <c r="F5" s="10">
        <v>80</v>
      </c>
      <c r="G5" s="10">
        <v>3</v>
      </c>
      <c r="H5" s="21">
        <f>1-E5/D5</f>
        <v>0.96250000000000002</v>
      </c>
      <c r="I5" s="21">
        <f>IF(H5&lt;=0.8,80%,IF(H5&gt;0.8,H5*0.95))</f>
        <v>0.91437499999999994</v>
      </c>
      <c r="J5" s="22">
        <f>IF(H5&gt;=100%,0.99,(IF(AND(H5&gt;=95%,H5&lt;100%),1,(IF(AND(H5&gt;=90%,H5&lt;95%),1.01,(IF(AND(H5&gt;=85%,H5&lt;90%),1.02,(IF(AND(H5&gt;=80%,H5&lt;85%),1.03,(IF(AND(H5&lt;80%),80%)))))))))))</f>
        <v>1</v>
      </c>
      <c r="K5" s="21">
        <f>1-G5/F5</f>
        <v>0.96250000000000002</v>
      </c>
      <c r="L5" s="21">
        <f>IF(I5&lt;=0.8,80%,IF(I5&gt;0.8,I5))</f>
        <v>0.91437499999999994</v>
      </c>
      <c r="M5" s="21">
        <f>IF((H5)&lt;=0.8,80%*1.03,(H5*J5))</f>
        <v>0.96250000000000002</v>
      </c>
      <c r="N5" s="23">
        <f>IF(((K5-L5)/(M5-L5))*100&lt;0,0,IF(((K5-L5)/(M5-L5))*100&gt;100,100,((K5-L5)/(M5-L5))*100))</f>
        <v>100</v>
      </c>
    </row>
    <row r="6" spans="3:14" s="28" customFormat="1" x14ac:dyDescent="0.25">
      <c r="C6" s="24" t="s">
        <v>19</v>
      </c>
      <c r="D6" s="24" t="s">
        <v>19</v>
      </c>
      <c r="E6" s="24" t="s">
        <v>19</v>
      </c>
      <c r="F6" s="24" t="s">
        <v>19</v>
      </c>
      <c r="G6" s="24" t="s">
        <v>19</v>
      </c>
      <c r="H6" s="16" t="s">
        <v>20</v>
      </c>
      <c r="I6" s="16" t="s">
        <v>20</v>
      </c>
      <c r="J6" s="16" t="s">
        <v>20</v>
      </c>
      <c r="K6" s="16" t="s">
        <v>20</v>
      </c>
      <c r="L6" s="16" t="s">
        <v>20</v>
      </c>
      <c r="M6" s="16" t="s">
        <v>20</v>
      </c>
      <c r="N6" s="16" t="s">
        <v>20</v>
      </c>
    </row>
  </sheetData>
  <sheetProtection algorithmName="SHA-512" hashValue="878aIokfJx2mLY8JjBF4QOSujEs4TH9pgFoMhgGPtDqLKGqHQBQlie9Pbr0yh/S2jiwMatf6aJMrl1hRmdHfMQ==" saltValue="uiNqoIUvDMV6bNVJzKRatA==" spinCount="100000" sheet="1" objects="1" scenarios="1"/>
  <protectedRanges>
    <protectedRange algorithmName="SHA-512" hashValue="UUHeFtbMQVlinREd5EFunqoDftvlPfgjAVBreQZRm97GmJSWSPkU7xctEY876BhvaF/CJQMcc1PjIVGdVF6Yww==" saltValue="xjwatOk1y3ktfjziJkRIug==" spinCount="100000" sqref="H5:N5" name="Диапазон1"/>
  </protectedRanges>
  <mergeCells count="4">
    <mergeCell ref="C3:C4"/>
    <mergeCell ref="D3:E3"/>
    <mergeCell ref="F3:G3"/>
    <mergeCell ref="H3:N3"/>
  </mergeCells>
  <pageMargins left="0.70866141732283472" right="0.70866141732283472" top="0.74803149606299213" bottom="0.74803149606299213" header="0.31496062992125984" footer="0.31496062992125984"/>
  <pageSetup paperSize="9" scale="38" firstPageNumber="5" orientation="portrait" r:id="rId1"/>
  <headerFooter>
    <oddFooter>&amp;R&amp;P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13"/>
  <sheetViews>
    <sheetView topLeftCell="B1" zoomScaleNormal="100" workbookViewId="0">
      <selection activeCell="R11" sqref="R11"/>
    </sheetView>
  </sheetViews>
  <sheetFormatPr defaultRowHeight="15" x14ac:dyDescent="0.25"/>
  <cols>
    <col min="3" max="3" width="18.5703125" customWidth="1"/>
    <col min="4" max="4" width="26.85546875" customWidth="1"/>
    <col min="5" max="7" width="33" customWidth="1"/>
    <col min="8" max="8" width="18" customWidth="1"/>
    <col min="9" max="9" width="14.140625" customWidth="1"/>
    <col min="10" max="10" width="16.140625" customWidth="1"/>
    <col min="11" max="11" width="15.28515625" customWidth="1"/>
  </cols>
  <sheetData>
    <row r="1" spans="3:14" x14ac:dyDescent="0.25">
      <c r="C1" s="36" t="s">
        <v>27</v>
      </c>
    </row>
    <row r="2" spans="3:14" ht="15.75" thickBot="1" x14ac:dyDescent="0.3"/>
    <row r="3" spans="3:14" s="28" customFormat="1" ht="32.25" customHeight="1" thickBot="1" x14ac:dyDescent="0.3">
      <c r="C3" s="80" t="s">
        <v>0</v>
      </c>
      <c r="D3" s="64" t="s">
        <v>21</v>
      </c>
      <c r="E3" s="65"/>
      <c r="F3" s="74" t="s">
        <v>1</v>
      </c>
      <c r="G3" s="67"/>
      <c r="H3" s="78" t="s">
        <v>2</v>
      </c>
      <c r="I3" s="78"/>
      <c r="J3" s="78"/>
      <c r="K3" s="78"/>
      <c r="L3" s="78"/>
      <c r="M3" s="78"/>
      <c r="N3" s="79"/>
    </row>
    <row r="4" spans="3:14" s="28" customFormat="1" ht="93" customHeight="1" x14ac:dyDescent="0.25">
      <c r="C4" s="81"/>
      <c r="D4" s="3" t="s">
        <v>22</v>
      </c>
      <c r="E4" s="17" t="s">
        <v>8</v>
      </c>
      <c r="F4" s="3" t="s">
        <v>22</v>
      </c>
      <c r="G4" s="17" t="s">
        <v>8</v>
      </c>
      <c r="H4" s="29" t="s">
        <v>9</v>
      </c>
      <c r="I4" s="1" t="s">
        <v>10</v>
      </c>
      <c r="J4" s="1" t="s">
        <v>17</v>
      </c>
      <c r="K4" s="30" t="s">
        <v>12</v>
      </c>
      <c r="L4" s="31" t="s">
        <v>13</v>
      </c>
      <c r="M4" s="31" t="s">
        <v>14</v>
      </c>
      <c r="N4" s="32" t="s">
        <v>16</v>
      </c>
    </row>
    <row r="5" spans="3:14" s="28" customFormat="1" ht="21" customHeight="1" x14ac:dyDescent="0.25">
      <c r="C5" s="33" t="s">
        <v>18</v>
      </c>
      <c r="D5" s="10">
        <v>600</v>
      </c>
      <c r="E5" s="10">
        <v>5</v>
      </c>
      <c r="F5" s="10">
        <v>600</v>
      </c>
      <c r="G5" s="10">
        <v>5</v>
      </c>
      <c r="H5" s="21">
        <f>1-E5/D5</f>
        <v>0.9916666666666667</v>
      </c>
      <c r="I5" s="21">
        <f>IF(H5&lt;=0.8,80%,IF(H5&gt;0.8,H5*0.95))</f>
        <v>0.94208333333333327</v>
      </c>
      <c r="J5" s="22">
        <f>IF(H5&gt;=100%,0.99,(IF(AND(H5&gt;=95%,H5&lt;100%),1,(IF(AND(H5&gt;=90%,H5&lt;95%),1.01,(IF(AND(H5&gt;=85%,H5&lt;90%),1.02,(IF(AND(H5&gt;=80%,H5&lt;85%),1.03,(IF(AND(H5&lt;80%),80%)))))))))))</f>
        <v>1</v>
      </c>
      <c r="K5" s="21">
        <f>1-G5/F5</f>
        <v>0.9916666666666667</v>
      </c>
      <c r="L5" s="21">
        <f>IF(I5&lt;=0.8,80%,IF(I5&gt;0.8,I5))</f>
        <v>0.94208333333333327</v>
      </c>
      <c r="M5" s="21">
        <f>IF((H5)&lt;=0.8,80%*1.03,(H5*J5))</f>
        <v>0.9916666666666667</v>
      </c>
      <c r="N5" s="23">
        <f>IF(((K5-L5)/(M5-L5))*100&lt;0,0,IF(((K5-L5)/(M5-L5))*100&gt;100,100,((K5-L5)/(M5-L5))*100))</f>
        <v>100</v>
      </c>
    </row>
    <row r="6" spans="3:14" s="28" customFormat="1" x14ac:dyDescent="0.25">
      <c r="C6" s="24" t="s">
        <v>19</v>
      </c>
      <c r="D6" s="24" t="s">
        <v>19</v>
      </c>
      <c r="E6" s="24" t="s">
        <v>19</v>
      </c>
      <c r="F6" s="24" t="s">
        <v>19</v>
      </c>
      <c r="G6" s="24" t="s">
        <v>19</v>
      </c>
      <c r="H6" s="16" t="s">
        <v>20</v>
      </c>
      <c r="I6" s="16" t="s">
        <v>20</v>
      </c>
      <c r="J6" s="16" t="s">
        <v>20</v>
      </c>
      <c r="K6" s="16" t="s">
        <v>20</v>
      </c>
      <c r="L6" s="16" t="s">
        <v>20</v>
      </c>
      <c r="M6" s="16" t="s">
        <v>20</v>
      </c>
      <c r="N6" s="16" t="s">
        <v>20</v>
      </c>
    </row>
    <row r="13" spans="3:14" x14ac:dyDescent="0.25">
      <c r="E13" s="36"/>
    </row>
  </sheetData>
  <sheetProtection algorithmName="SHA-512" hashValue="Iqpip2Xl4SGYt/ER3/w2K5uvvvfvCpTja34sCOS95jkYrCR66z4+tC/KZiqt1lKjJrhpfBnAgoMEpoVY4Nn9uw==" saltValue="Up7usk/UEf7w2KeAMkVUcw==" spinCount="100000" sheet="1" objects="1" scenarios="1"/>
  <mergeCells count="4">
    <mergeCell ref="C3:C4"/>
    <mergeCell ref="D3:E3"/>
    <mergeCell ref="F3:G3"/>
    <mergeCell ref="H3:N3"/>
  </mergeCells>
  <pageMargins left="0.70866141732283472" right="0.70866141732283472" top="0.74803149606299213" bottom="0.74803149606299213" header="0.31496062992125984" footer="0.31496062992125984"/>
  <pageSetup paperSize="9" scale="38" firstPageNumber="5" orientation="portrait" r:id="rId1"/>
  <headerFooter>
    <oddFooter>&amp;R&amp;P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11"/>
  <sheetViews>
    <sheetView zoomScaleNormal="100" zoomScalePageLayoutView="70" workbookViewId="0">
      <selection activeCell="R11" sqref="R11"/>
    </sheetView>
  </sheetViews>
  <sheetFormatPr defaultRowHeight="15" x14ac:dyDescent="0.25"/>
  <cols>
    <col min="2" max="2" width="16.7109375" customWidth="1"/>
    <col min="3" max="3" width="13.85546875" customWidth="1"/>
    <col min="4" max="4" width="7.42578125" customWidth="1"/>
    <col min="5" max="5" width="12.7109375" customWidth="1"/>
    <col min="6" max="6" width="16.140625" customWidth="1"/>
    <col min="7" max="7" width="7.42578125" customWidth="1"/>
    <col min="8" max="8" width="10.7109375" customWidth="1"/>
    <col min="9" max="9" width="16.28515625" customWidth="1"/>
    <col min="10" max="10" width="6.42578125" customWidth="1"/>
    <col min="11" max="11" width="11" customWidth="1"/>
    <col min="12" max="12" width="16.85546875" customWidth="1"/>
    <col min="13" max="13" width="8.140625" customWidth="1"/>
    <col min="14" max="14" width="11" customWidth="1"/>
    <col min="15" max="15" width="15.7109375" customWidth="1"/>
    <col min="17" max="17" width="10.5703125" customWidth="1"/>
    <col min="18" max="18" width="8.5703125" customWidth="1"/>
    <col min="19" max="19" width="9.85546875" customWidth="1"/>
  </cols>
  <sheetData>
    <row r="2" spans="2:19" ht="15.75" thickBot="1" x14ac:dyDescent="0.3"/>
    <row r="3" spans="2:19" ht="27" customHeight="1" thickBot="1" x14ac:dyDescent="0.3">
      <c r="B3" s="86" t="s">
        <v>18</v>
      </c>
      <c r="C3" s="89" t="s">
        <v>28</v>
      </c>
      <c r="D3" s="90"/>
      <c r="E3" s="91"/>
      <c r="F3" s="89" t="s">
        <v>29</v>
      </c>
      <c r="G3" s="90"/>
      <c r="H3" s="91"/>
      <c r="I3" s="89" t="s">
        <v>30</v>
      </c>
      <c r="J3" s="90"/>
      <c r="K3" s="91"/>
      <c r="L3" s="89" t="s">
        <v>31</v>
      </c>
      <c r="M3" s="90"/>
      <c r="N3" s="91"/>
      <c r="O3" s="89" t="s">
        <v>32</v>
      </c>
      <c r="P3" s="90"/>
      <c r="Q3" s="91"/>
      <c r="R3" s="82" t="s">
        <v>33</v>
      </c>
      <c r="S3" s="84" t="s">
        <v>34</v>
      </c>
    </row>
    <row r="4" spans="2:19" ht="27" customHeight="1" x14ac:dyDescent="0.25">
      <c r="B4" s="87"/>
      <c r="C4" s="45" t="s">
        <v>38</v>
      </c>
      <c r="D4" s="37" t="s">
        <v>35</v>
      </c>
      <c r="E4" s="38" t="s">
        <v>36</v>
      </c>
      <c r="F4" s="45" t="s">
        <v>37</v>
      </c>
      <c r="G4" s="37" t="s">
        <v>35</v>
      </c>
      <c r="H4" s="38" t="s">
        <v>36</v>
      </c>
      <c r="I4" s="45" t="s">
        <v>37</v>
      </c>
      <c r="J4" s="37" t="s">
        <v>35</v>
      </c>
      <c r="K4" s="38" t="s">
        <v>36</v>
      </c>
      <c r="L4" s="45" t="s">
        <v>37</v>
      </c>
      <c r="M4" s="37" t="s">
        <v>35</v>
      </c>
      <c r="N4" s="38" t="s">
        <v>36</v>
      </c>
      <c r="O4" s="45" t="s">
        <v>37</v>
      </c>
      <c r="P4" s="37" t="s">
        <v>35</v>
      </c>
      <c r="Q4" s="38" t="s">
        <v>36</v>
      </c>
      <c r="R4" s="83"/>
      <c r="S4" s="85"/>
    </row>
    <row r="5" spans="2:19" ht="27" customHeight="1" thickBot="1" x14ac:dyDescent="0.3">
      <c r="B5" s="88"/>
      <c r="C5" s="39">
        <f>Солеотложения!G5</f>
        <v>765</v>
      </c>
      <c r="D5" s="40">
        <f>Солеотложения!AA5</f>
        <v>93.47826086956519</v>
      </c>
      <c r="E5" s="41">
        <f>C5/$R$5</f>
        <v>0.45132743362831856</v>
      </c>
      <c r="F5" s="39">
        <f>Коррозия!E5</f>
        <v>100</v>
      </c>
      <c r="G5" s="40">
        <f>Коррозия!M5</f>
        <v>78.947368421052616</v>
      </c>
      <c r="H5" s="41">
        <f>F5/$R$5</f>
        <v>5.8997050147492625E-2</v>
      </c>
      <c r="I5" s="39">
        <f>АСПО!F5</f>
        <v>150</v>
      </c>
      <c r="J5" s="42">
        <f>АСПО!N5</f>
        <v>100</v>
      </c>
      <c r="K5" s="41">
        <f>I5/$R$5</f>
        <v>8.8495575221238937E-2</v>
      </c>
      <c r="L5" s="39">
        <f>Эмульсия!F5</f>
        <v>80</v>
      </c>
      <c r="M5" s="42">
        <f>Эмульсия!N5</f>
        <v>100</v>
      </c>
      <c r="N5" s="41">
        <f>L5/$R$5</f>
        <v>4.71976401179941E-2</v>
      </c>
      <c r="O5" s="39">
        <f>Гидраты!F5</f>
        <v>600</v>
      </c>
      <c r="P5" s="42">
        <f>Гидраты!N5</f>
        <v>100</v>
      </c>
      <c r="Q5" s="41">
        <f>O5/$R$5</f>
        <v>0.35398230088495575</v>
      </c>
      <c r="R5" s="43">
        <f>C5+F5+I5+L5+O5</f>
        <v>1695</v>
      </c>
      <c r="S5" s="44">
        <f>D5*E5+G5*H5+J5*K5+M5*N5+P5*Q5</f>
        <v>95.814517054467629</v>
      </c>
    </row>
    <row r="11" spans="2:19" ht="15.75" x14ac:dyDescent="0.25">
      <c r="R11" s="92" t="s">
        <v>48</v>
      </c>
    </row>
  </sheetData>
  <mergeCells count="8">
    <mergeCell ref="R3:R4"/>
    <mergeCell ref="S3:S4"/>
    <mergeCell ref="B3:B5"/>
    <mergeCell ref="C3:E3"/>
    <mergeCell ref="F3:H3"/>
    <mergeCell ref="I3:K3"/>
    <mergeCell ref="L3:N3"/>
    <mergeCell ref="O3:Q3"/>
  </mergeCells>
  <pageMargins left="0.70866141732283472" right="0.70866141732283472" top="0.74803149606299213" bottom="0.74803149606299213" header="0.31496062992125984" footer="0.31496062992125984"/>
  <pageSetup paperSize="9" scale="38" firstPageNumber="6" orientation="portrait" r:id="rId1"/>
  <headerFooter>
    <oddFooter>&amp;R&amp;P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приложение 11</vt:lpstr>
      <vt:lpstr>Солеотложения</vt:lpstr>
      <vt:lpstr>Коррозия</vt:lpstr>
      <vt:lpstr>АСПО</vt:lpstr>
      <vt:lpstr>Эмульсия</vt:lpstr>
      <vt:lpstr>Гидраты</vt:lpstr>
      <vt:lpstr>Общее КПЭ</vt:lpstr>
      <vt:lpstr>АСПО!Область_печати</vt:lpstr>
      <vt:lpstr>Гидраты!Область_печати</vt:lpstr>
      <vt:lpstr>'Общее КПЭ'!Область_печати</vt:lpstr>
      <vt:lpstr>'приложение 11'!Область_печати</vt:lpstr>
      <vt:lpstr>Солеотложения!Область_печати</vt:lpstr>
    </vt:vector>
  </TitlesOfParts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Иванюкова Кристина Дмитриевна</cp:lastModifiedBy>
  <cp:lastPrinted>2023-10-06T07:29:23Z</cp:lastPrinted>
  <dcterms:created xsi:type="dcterms:W3CDTF">2006-09-16T00:00:00Z</dcterms:created>
  <dcterms:modified xsi:type="dcterms:W3CDTF">2023-10-06T07:29:25Z</dcterms:modified>
</cp:coreProperties>
</file>